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ME" sheetId="1" state="visible" r:id="rId3"/>
    <sheet name="Assumptions" sheetId="2" state="visible" r:id="rId4"/>
    <sheet name="Startup Costs" sheetId="3" state="visible" r:id="rId5"/>
    <sheet name="Cash Flow" sheetId="4" state="visible" r:id="rId6"/>
    <sheet name="Break-even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<sst xmlns="http://schemas.openxmlformats.org/spreadsheetml/2006/main" count="85" uniqueCount="83">
  <si>
    <t xml:space="preserve">The Last-Mile Operator's Playbook — Appendix G Companion</t>
  </si>
  <si>
    <t xml:space="preserve">Startup Cost &amp; First-90-Days Cash Model  |  © Wiley Strahan</t>
  </si>
  <si>
    <t xml:space="preserve">HOW TO USE</t>
  </si>
  <si>
    <t xml:space="preserve">1. Change BLUE cells only (Assumptions tab). Black cells are formulas.</t>
  </si>
  <si>
    <t xml:space="preserve">2. Cash Flow tab computes 26 weeks of operating cash from your assumptions.</t>
  </si>
  <si>
    <t xml:space="preserve">3. Watch three numbers (Break-even tab): the cash trough, the week cash turns positive, contribution per stop.</t>
  </si>
  <si>
    <t xml:space="preserve">4. Startup Costs tab: set your own line items; the working-capital line should equal the modeled trough +20-25%.</t>
  </si>
  <si>
    <t xml:space="preserve">MECHANICS</t>
  </si>
  <si>
    <t xml:space="preserve">- Revenue is billed weekly and collected after the settlement lag (default 5 weeks = net-30 program + weekly settlement).</t>
  </si>
  <si>
    <t xml:space="preserve">- Ramp weeks run at reduced volume, but crews/trucks cost near-full (staffing-ahead floor) — that is why the trough</t>
  </si>
  <si>
    <t xml:space="preserve">  bottoms AFTER receipts start. Growth adds a new trough per truck: fund it from the balance sheet, not the P&amp;L.</t>
  </si>
  <si>
    <t xml:space="preserve">- Furniture chargebacks: model as the steady % here. Appliance claims: severe and rare — hold the Ch.5 reserve too.</t>
  </si>
  <si>
    <t xml:space="preserve">All defaults are illustrative and match Chapter 8 of the book. This is not financial advice.</t>
  </si>
  <si>
    <t xml:space="preserve">ASSUMPTIONS — change blue cells</t>
  </si>
  <si>
    <t xml:space="preserve">Volume</t>
  </si>
  <si>
    <t xml:space="preserve">Trucks</t>
  </si>
  <si>
    <t xml:space="preserve">Stops per truck per day</t>
  </si>
  <si>
    <t xml:space="preserve">Delivery days per week</t>
  </si>
  <si>
    <t xml:space="preserve">Ramp length (weeks)</t>
  </si>
  <si>
    <t xml:space="preserve">Weeks at reduced volume while the program feeds you routes</t>
  </si>
  <si>
    <t xml:space="preserve">Ramp volume (% of full run)</t>
  </si>
  <si>
    <t xml:space="preserve">Revenue</t>
  </si>
  <si>
    <t xml:space="preserve">Average revenue per stop (base + accessorials)</t>
  </si>
  <si>
    <t xml:space="preserve">Chargebacks / claims (% of billed, contra-revenue)</t>
  </si>
  <si>
    <t xml:space="preserve">Furniture: steady %. Appliance: also hold the Ch.5 severe-claim reserve.</t>
  </si>
  <si>
    <t xml:space="preserve">Settlement lag (weeks from delivery to cash)</t>
  </si>
  <si>
    <t xml:space="preserve">Net-30 + weekly settlement ≈ 5. Net-45 ≈ 7.</t>
  </si>
  <si>
    <t xml:space="preserve">Weekly cash costs at FULL run</t>
  </si>
  <si>
    <t xml:space="preserve">Crews (all trucks, loaded)</t>
  </si>
  <si>
    <t xml:space="preserve">Fuel</t>
  </si>
  <si>
    <t xml:space="preserve">Truck leases</t>
  </si>
  <si>
    <t xml:space="preserve">Insurance</t>
  </si>
  <si>
    <t xml:space="preserve">Warehouse / phones / software / overhead</t>
  </si>
  <si>
    <t xml:space="preserve">Staffing-ahead floor in ramp weeks (% of full crew+fuel)</t>
  </si>
  <si>
    <t xml:space="preserve">You staff ahead of volume; crews cost near-full even in ramp weeks</t>
  </si>
  <si>
    <t xml:space="preserve">Derived</t>
  </si>
  <si>
    <t xml:space="preserve">Stops per week at full run</t>
  </si>
  <si>
    <t xml:space="preserve">Variable weekly cost (crew+fuel) at full run</t>
  </si>
  <si>
    <t xml:space="preserve">Fixed weekly cost (lease+insurance+overhead)</t>
  </si>
  <si>
    <t xml:space="preserve">STARTUP COSTS (illustrative — set your own)</t>
  </si>
  <si>
    <t xml:space="preserve">Line item</t>
  </si>
  <si>
    <t xml:space="preserve">1-truck low</t>
  </si>
  <si>
    <t xml:space="preserve">1-truck high</t>
  </si>
  <si>
    <t xml:space="preserve">3-truck low</t>
  </si>
  <si>
    <t xml:space="preserve">3-truck high</t>
  </si>
  <si>
    <t xml:space="preserve">Truck: lease deposit + first month (or down payment)</t>
  </si>
  <si>
    <t xml:space="preserve">Insurance down payment (~25% of annual premium)</t>
  </si>
  <si>
    <t xml:space="preserve">Tools, kit, totes, blankets, protection gear (Ch. 7)</t>
  </si>
  <si>
    <t xml:space="preserve">Entity, licensing, DOT/authority, compliance, screenings</t>
  </si>
  <si>
    <t xml:space="preserve">Uniforms, branding, phones/devices</t>
  </si>
  <si>
    <t xml:space="preserve">Claims reserve seed (Ch. 5)</t>
  </si>
  <si>
    <t xml:space="preserve">Working capital reserve (= modeled trough + 20-25%)</t>
  </si>
  <si>
    <t xml:space="preserve">TOTAL</t>
  </si>
  <si>
    <t xml:space="preserve">FIRST-26-WEEKS OPERATING CASH FLOW</t>
  </si>
  <si>
    <t xml:space="preserve">Week</t>
  </si>
  <si>
    <t xml:space="preserve">Volume (% of full run)</t>
  </si>
  <si>
    <t xml:space="preserve">Stops delivered</t>
  </si>
  <si>
    <t xml:space="preserve">Revenue billed</t>
  </si>
  <si>
    <t xml:space="preserve">Net billed (after chargebacks)</t>
  </si>
  <si>
    <t xml:space="preserve">Cash collected</t>
  </si>
  <si>
    <t xml:space="preserve">Crew + fuel (out)</t>
  </si>
  <si>
    <t xml:space="preserve">Fixed costs (out)</t>
  </si>
  <si>
    <t xml:space="preserve">Total cash out</t>
  </si>
  <si>
    <t xml:space="preserve">Weekly net cash</t>
  </si>
  <si>
    <t xml:space="preserve">Cumulative operating cash</t>
  </si>
  <si>
    <t xml:space="preserve">Cumulative &gt; 0 flag</t>
  </si>
  <si>
    <t xml:space="preserve">Cumulative incl. startup (3-truck low case)</t>
  </si>
  <si>
    <t xml:space="preserve">THE THREE NUMBERS TO WATCH</t>
  </si>
  <si>
    <t xml:space="preserve">Cash trough (deepest cumulative operating cash)</t>
  </si>
  <si>
    <t xml:space="preserve">Your minimum working capital. Carry this + 20-25% buffer.</t>
  </si>
  <si>
    <t xml:space="preserve">Trough week</t>
  </si>
  <si>
    <t xml:space="preserve">Week cumulative cash turns positive</t>
  </si>
  <si>
    <t xml:space="preserve">Contribution per stop (before fixed costs)</t>
  </si>
  <si>
    <t xml:space="preserve">Weekly contribution at full run (after fixed)</t>
  </si>
  <si>
    <t xml:space="preserve">Contribution per stop (after fixed, full run)</t>
  </si>
  <si>
    <t xml:space="preserve">Ch. 8 benchmark: ~$29/stop</t>
  </si>
  <si>
    <t xml:space="preserve">Break-even stops per week (covers fixed)</t>
  </si>
  <si>
    <t xml:space="preserve">Working capital target (trough × 1.25)</t>
  </si>
  <si>
    <t xml:space="preserve">Ch. 8 rule of thumb</t>
  </si>
  <si>
    <t xml:space="preserve">1-TRUCK QUICK SCENARIO (scaled from assumptions)</t>
  </si>
  <si>
    <t xml:space="preserve">Weekly variable cost (crew+fuel, 1 truck)</t>
  </si>
  <si>
    <t xml:space="preserve">Weekly fixed cost (lease+ins ÷ trucks + 60% overhead)</t>
  </si>
  <si>
    <t xml:space="preserve">Approx. trough (scaled by truck count)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</si>
</sst>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%"/>
    <numFmt numFmtId="166" formatCode="\$#,##0;&quot;($&quot;#,##0\);\-"/>
    <numFmt numFmtId="167" formatCode="0%"/>
    <numFmt numFmtId="168" formatCode="0"/>
    <numFmt numFmtId="169" formatCode="#,##0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Arial"/>
      <family val="0"/>
      <charset val="1"/>
    </font>
    <font>
      <sz val="11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0000FF"/>
      <name val="Arial"/>
      <family val="0"/>
      <charset val="1"/>
    </font>
    <font>
      <i val="true"/>
      <sz val="9"/>
      <color rgb="FF80808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FFF00"/>
        <bgColor rgb="FFFFFF00"/>
      </patternFill>
    </fill>
    <fill>
      <patternFill patternType="solid">
        <fgColor rgb="FFE2EFDA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10"/>
  </cols>
  <sheetData>
    <row r="1" customFormat="false" ht="1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2"/>
    </row>
    <row r="4" customFormat="false" ht="15" hidden="false" customHeight="false" outlineLevel="0" collapsed="false">
      <c r="A4" s="1" t="s">
        <v>2</v>
      </c>
    </row>
    <row r="5" customFormat="false" ht="15" hidden="false" customHeight="false" outlineLevel="0" collapsed="false">
      <c r="A5" s="2" t="s">
        <v>3</v>
      </c>
    </row>
    <row r="6" customFormat="false" ht="15" hidden="false" customHeight="false" outlineLevel="0" collapsed="false">
      <c r="A6" s="2" t="s">
        <v>4</v>
      </c>
    </row>
    <row r="7" customFormat="false" ht="15" hidden="false" customHeight="false" outlineLevel="0" collapsed="false">
      <c r="A7" s="2" t="s">
        <v>5</v>
      </c>
    </row>
    <row r="8" customFormat="false" ht="15" hidden="false" customHeight="false" outlineLevel="0" collapsed="false">
      <c r="A8" s="2" t="s">
        <v>6</v>
      </c>
    </row>
    <row r="9" customFormat="false" ht="15" hidden="false" customHeight="false" outlineLevel="0" collapsed="false">
      <c r="A9" s="2"/>
    </row>
    <row r="10" customFormat="false" ht="15" hidden="false" customHeight="false" outlineLevel="0" collapsed="false">
      <c r="A10" s="1" t="s">
        <v>7</v>
      </c>
    </row>
    <row r="11" customFormat="false" ht="15" hidden="false" customHeight="false" outlineLevel="0" collapsed="false">
      <c r="A11" s="2" t="s">
        <v>8</v>
      </c>
    </row>
    <row r="12" customFormat="false" ht="15" hidden="false" customHeight="false" outlineLevel="0" collapsed="false">
      <c r="A12" s="2" t="s">
        <v>9</v>
      </c>
    </row>
    <row r="13" customFormat="false" ht="15" hidden="false" customHeight="false" outlineLevel="0" collapsed="false">
      <c r="A13" s="2" t="s">
        <v>10</v>
      </c>
    </row>
    <row r="14" customFormat="false" ht="15" hidden="false" customHeight="false" outlineLevel="0" collapsed="false">
      <c r="A14" s="2" t="s">
        <v>11</v>
      </c>
    </row>
    <row r="15" customFormat="false" ht="15" hidden="false" customHeight="false" outlineLevel="0" collapsed="false">
      <c r="A15" s="2"/>
    </row>
    <row r="16" customFormat="false" ht="15" hidden="false" customHeight="false" outlineLevel="0" collapsed="false">
      <c r="A16" s="2" t="s">
        <v>12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14"/>
    <col collapsed="false" customWidth="true" hidden="false" outlineLevel="0" max="3" min="3" style="0" width="60"/>
  </cols>
  <sheetData>
    <row r="1" customFormat="false" ht="15" hidden="false" customHeight="false" outlineLevel="0" collapsed="false">
      <c r="A1" s="3" t="s">
        <v>13</v>
      </c>
      <c r="B1" s="3"/>
      <c r="C1" s="3"/>
    </row>
    <row r="3" customFormat="false" ht="15" hidden="false" customHeight="false" outlineLevel="0" collapsed="false">
      <c r="A3" s="1" t="s">
        <v>14</v>
      </c>
    </row>
    <row r="4" customFormat="false" ht="15" hidden="false" customHeight="false" outlineLevel="0" collapsed="false">
      <c r="A4" s="2" t="s">
        <v>15</v>
      </c>
      <c r="B4" s="4" t="n">
        <v>3</v>
      </c>
    </row>
    <row r="5" customFormat="false" ht="15" hidden="false" customHeight="false" outlineLevel="0" collapsed="false">
      <c r="A5" s="2" t="s">
        <v>16</v>
      </c>
      <c r="B5" s="4" t="n">
        <v>12</v>
      </c>
    </row>
    <row r="6" customFormat="false" ht="15" hidden="false" customHeight="false" outlineLevel="0" collapsed="false">
      <c r="A6" s="2" t="s">
        <v>17</v>
      </c>
      <c r="B6" s="4" t="n">
        <v>6</v>
      </c>
    </row>
    <row r="7" customFormat="false" ht="15" hidden="false" customHeight="false" outlineLevel="0" collapsed="false">
      <c r="A7" s="2" t="s">
        <v>18</v>
      </c>
      <c r="B7" s="4" t="n">
        <v>2</v>
      </c>
      <c r="C7" s="5" t="s">
        <v>19</v>
      </c>
    </row>
    <row r="8" customFormat="false" ht="15" hidden="false" customHeight="false" outlineLevel="0" collapsed="false">
      <c r="A8" s="2" t="s">
        <v>20</v>
      </c>
      <c r="B8" s="6" t="n">
        <v>0.6</v>
      </c>
    </row>
    <row r="10" customFormat="false" ht="15" hidden="false" customHeight="false" outlineLevel="0" collapsed="false">
      <c r="A10" s="1" t="s">
        <v>21</v>
      </c>
    </row>
    <row r="11" customFormat="false" ht="15" hidden="false" customHeight="false" outlineLevel="0" collapsed="false">
      <c r="A11" s="2" t="s">
        <v>22</v>
      </c>
      <c r="B11" s="7" t="n">
        <v>95</v>
      </c>
    </row>
    <row r="12" customFormat="false" ht="15" hidden="false" customHeight="false" outlineLevel="0" collapsed="false">
      <c r="A12" s="2" t="s">
        <v>23</v>
      </c>
      <c r="B12" s="8" t="n">
        <v>0.04</v>
      </c>
      <c r="C12" s="5" t="s">
        <v>24</v>
      </c>
    </row>
    <row r="13" customFormat="false" ht="15" hidden="false" customHeight="false" outlineLevel="0" collapsed="false">
      <c r="A13" s="2" t="s">
        <v>25</v>
      </c>
      <c r="B13" s="9" t="n">
        <v>5</v>
      </c>
      <c r="C13" s="5" t="s">
        <v>26</v>
      </c>
    </row>
    <row r="15" customFormat="false" ht="15" hidden="false" customHeight="false" outlineLevel="0" collapsed="false">
      <c r="A15" s="1" t="s">
        <v>27</v>
      </c>
    </row>
    <row r="16" customFormat="false" ht="15" hidden="false" customHeight="false" outlineLevel="0" collapsed="false">
      <c r="A16" s="2" t="s">
        <v>28</v>
      </c>
      <c r="B16" s="7" t="n">
        <v>7560</v>
      </c>
    </row>
    <row r="17" customFormat="false" ht="15" hidden="false" customHeight="false" outlineLevel="0" collapsed="false">
      <c r="A17" s="2" t="s">
        <v>29</v>
      </c>
      <c r="B17" s="7" t="n">
        <v>1980</v>
      </c>
    </row>
    <row r="18" customFormat="false" ht="15" hidden="false" customHeight="false" outlineLevel="0" collapsed="false">
      <c r="A18" s="2" t="s">
        <v>30</v>
      </c>
      <c r="B18" s="7" t="n">
        <v>1590</v>
      </c>
    </row>
    <row r="19" customFormat="false" ht="15" hidden="false" customHeight="false" outlineLevel="0" collapsed="false">
      <c r="A19" s="2" t="s">
        <v>31</v>
      </c>
      <c r="B19" s="7" t="n">
        <v>1000</v>
      </c>
    </row>
    <row r="20" customFormat="false" ht="15" hidden="false" customHeight="false" outlineLevel="0" collapsed="false">
      <c r="A20" s="2" t="s">
        <v>32</v>
      </c>
      <c r="B20" s="7" t="n">
        <v>1270</v>
      </c>
    </row>
    <row r="21" customFormat="false" ht="15" hidden="false" customHeight="false" outlineLevel="0" collapsed="false">
      <c r="A21" s="2" t="s">
        <v>33</v>
      </c>
      <c r="B21" s="6" t="n">
        <v>0.8</v>
      </c>
      <c r="C21" s="5" t="s">
        <v>34</v>
      </c>
    </row>
    <row r="23" customFormat="false" ht="15" hidden="false" customHeight="false" outlineLevel="0" collapsed="false">
      <c r="A23" s="1" t="s">
        <v>35</v>
      </c>
    </row>
    <row r="24" customFormat="false" ht="15" hidden="false" customHeight="false" outlineLevel="0" collapsed="false">
      <c r="A24" s="2" t="s">
        <v>36</v>
      </c>
      <c r="B24" s="2" t="n">
        <f aca="false">B4*B5*B6</f>
        <v>216</v>
      </c>
    </row>
    <row r="25" customFormat="false" ht="15" hidden="false" customHeight="false" outlineLevel="0" collapsed="false">
      <c r="A25" s="2" t="s">
        <v>37</v>
      </c>
      <c r="B25" s="10" t="n">
        <f aca="false">B16+B17</f>
        <v>9540</v>
      </c>
    </row>
    <row r="26" customFormat="false" ht="15" hidden="false" customHeight="false" outlineLevel="0" collapsed="false">
      <c r="A26" s="2" t="s">
        <v>38</v>
      </c>
      <c r="B26" s="10" t="n">
        <f aca="false">B18+B19+B20</f>
        <v>3860</v>
      </c>
    </row>
  </sheetData>
  <mergeCells count="1">
    <mergeCell ref="A1:C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52"/>
    <col collapsed="false" customWidth="true" hidden="false" outlineLevel="0" max="5" min="2" style="0" width="15"/>
  </cols>
  <sheetData>
    <row r="1" customFormat="false" ht="15" hidden="false" customHeight="false" outlineLevel="0" collapsed="false">
      <c r="A1" s="3" t="s">
        <v>39</v>
      </c>
      <c r="B1" s="3"/>
      <c r="C1" s="3"/>
      <c r="D1" s="3"/>
      <c r="E1" s="3"/>
    </row>
    <row r="3" customFormat="false" ht="15" hidden="false" customHeight="false" outlineLevel="0" collapsed="false">
      <c r="A3" s="11" t="s">
        <v>40</v>
      </c>
      <c r="B3" s="11" t="s">
        <v>41</v>
      </c>
      <c r="C3" s="11" t="s">
        <v>42</v>
      </c>
      <c r="D3" s="11" t="s">
        <v>43</v>
      </c>
      <c r="E3" s="11" t="s">
        <v>44</v>
      </c>
    </row>
    <row r="4" customFormat="false" ht="15" hidden="false" customHeight="false" outlineLevel="0" collapsed="false">
      <c r="A4" s="2" t="s">
        <v>45</v>
      </c>
      <c r="B4" s="7" t="n">
        <v>3000</v>
      </c>
      <c r="C4" s="7" t="n">
        <v>15000</v>
      </c>
      <c r="D4" s="7" t="n">
        <v>9000</v>
      </c>
      <c r="E4" s="7" t="n">
        <v>45000</v>
      </c>
    </row>
    <row r="5" customFormat="false" ht="15" hidden="false" customHeight="false" outlineLevel="0" collapsed="false">
      <c r="A5" s="2" t="s">
        <v>46</v>
      </c>
      <c r="B5" s="7" t="n">
        <v>4500</v>
      </c>
      <c r="C5" s="7" t="n">
        <v>8000</v>
      </c>
      <c r="D5" s="7" t="n">
        <v>13000</v>
      </c>
      <c r="E5" s="7" t="n">
        <v>24000</v>
      </c>
    </row>
    <row r="6" customFormat="false" ht="15" hidden="false" customHeight="false" outlineLevel="0" collapsed="false">
      <c r="A6" s="2" t="s">
        <v>47</v>
      </c>
      <c r="B6" s="7" t="n">
        <v>3000</v>
      </c>
      <c r="C6" s="7" t="n">
        <v>5000</v>
      </c>
      <c r="D6" s="7" t="n">
        <v>9000</v>
      </c>
      <c r="E6" s="7" t="n">
        <v>15000</v>
      </c>
    </row>
    <row r="7" customFormat="false" ht="15" hidden="false" customHeight="false" outlineLevel="0" collapsed="false">
      <c r="A7" s="2" t="s">
        <v>48</v>
      </c>
      <c r="B7" s="7" t="n">
        <v>2000</v>
      </c>
      <c r="C7" s="7" t="n">
        <v>4000</v>
      </c>
      <c r="D7" s="7" t="n">
        <v>3000</v>
      </c>
      <c r="E7" s="7" t="n">
        <v>6000</v>
      </c>
    </row>
    <row r="8" customFormat="false" ht="15" hidden="false" customHeight="false" outlineLevel="0" collapsed="false">
      <c r="A8" s="2" t="s">
        <v>49</v>
      </c>
      <c r="B8" s="7" t="n">
        <v>500</v>
      </c>
      <c r="C8" s="7" t="n">
        <v>2000</v>
      </c>
      <c r="D8" s="7" t="n">
        <v>1500</v>
      </c>
      <c r="E8" s="7" t="n">
        <v>4000</v>
      </c>
    </row>
    <row r="9" customFormat="false" ht="15" hidden="false" customHeight="false" outlineLevel="0" collapsed="false">
      <c r="A9" s="2" t="s">
        <v>50</v>
      </c>
      <c r="B9" s="7" t="n">
        <v>2500</v>
      </c>
      <c r="C9" s="7" t="n">
        <v>2500</v>
      </c>
      <c r="D9" s="7" t="n">
        <v>2500</v>
      </c>
      <c r="E9" s="7" t="n">
        <v>5000</v>
      </c>
    </row>
    <row r="10" customFormat="false" ht="15" hidden="false" customHeight="false" outlineLevel="0" collapsed="false">
      <c r="A10" s="2" t="s">
        <v>51</v>
      </c>
      <c r="B10" s="7" t="n">
        <v>15000</v>
      </c>
      <c r="C10" s="7" t="n">
        <v>33000</v>
      </c>
      <c r="D10" s="7" t="n">
        <v>56000</v>
      </c>
      <c r="E10" s="7" t="n">
        <v>90000</v>
      </c>
    </row>
    <row r="11" customFormat="false" ht="15" hidden="false" customHeight="false" outlineLevel="0" collapsed="false">
      <c r="A11" s="1" t="s">
        <v>52</v>
      </c>
      <c r="B11" s="12" t="n">
        <f aca="false">SUM(B4:B10)</f>
        <v>30500</v>
      </c>
      <c r="C11" s="12" t="n">
        <f aca="false">SUM(C4:C10)</f>
        <v>69500</v>
      </c>
      <c r="D11" s="12" t="n">
        <f aca="false">SUM(D4:D10)</f>
        <v>94000</v>
      </c>
      <c r="E11" s="12" t="n">
        <f aca="false">SUM(E4:E10)</f>
        <v>189000</v>
      </c>
    </row>
  </sheetData>
  <mergeCells count="1">
    <mergeCell ref="A1:E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A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0"/>
    <col collapsed="false" customWidth="true" hidden="false" outlineLevel="0" max="27" min="2" style="0" width="11"/>
  </cols>
  <sheetData>
    <row r="1" customFormat="false" ht="15" hidden="false" customHeight="false" outlineLevel="0" collapsed="false">
      <c r="A1" s="3" t="s">
        <v>53</v>
      </c>
      <c r="B1" s="3"/>
      <c r="C1" s="3"/>
      <c r="D1" s="3"/>
      <c r="E1" s="3"/>
      <c r="F1" s="3"/>
      <c r="G1" s="3"/>
      <c r="H1" s="3"/>
      <c r="I1" s="3"/>
      <c r="J1" s="3"/>
    </row>
    <row r="3" customFormat="false" ht="15" hidden="false" customHeight="false" outlineLevel="0" collapsed="false">
      <c r="A3" s="1" t="s">
        <v>54</v>
      </c>
      <c r="B3" s="1" t="n">
        <v>1</v>
      </c>
      <c r="C3" s="1" t="n">
        <v>2</v>
      </c>
      <c r="D3" s="1" t="n">
        <v>3</v>
      </c>
      <c r="E3" s="1" t="n">
        <v>4</v>
      </c>
      <c r="F3" s="1" t="n">
        <v>5</v>
      </c>
      <c r="G3" s="1" t="n">
        <v>6</v>
      </c>
      <c r="H3" s="1" t="n">
        <v>7</v>
      </c>
      <c r="I3" s="1" t="n">
        <v>8</v>
      </c>
      <c r="J3" s="1" t="n">
        <v>9</v>
      </c>
      <c r="K3" s="1" t="n">
        <v>10</v>
      </c>
      <c r="L3" s="1" t="n">
        <v>11</v>
      </c>
      <c r="M3" s="1" t="n">
        <v>12</v>
      </c>
      <c r="N3" s="1" t="n">
        <v>13</v>
      </c>
      <c r="O3" s="1" t="n">
        <v>14</v>
      </c>
      <c r="P3" s="1" t="n">
        <v>15</v>
      </c>
      <c r="Q3" s="1" t="n">
        <v>16</v>
      </c>
      <c r="R3" s="1" t="n">
        <v>17</v>
      </c>
      <c r="S3" s="1" t="n">
        <v>18</v>
      </c>
      <c r="T3" s="1" t="n">
        <v>19</v>
      </c>
      <c r="U3" s="1" t="n">
        <v>20</v>
      </c>
      <c r="V3" s="1" t="n">
        <v>21</v>
      </c>
      <c r="W3" s="1" t="n">
        <v>22</v>
      </c>
      <c r="X3" s="1" t="n">
        <v>23</v>
      </c>
      <c r="Y3" s="1" t="n">
        <v>24</v>
      </c>
      <c r="Z3" s="1" t="n">
        <v>25</v>
      </c>
      <c r="AA3" s="1" t="n">
        <v>26</v>
      </c>
    </row>
    <row r="4" customFormat="false" ht="15" hidden="false" customHeight="false" outlineLevel="0" collapsed="false">
      <c r="A4" s="2" t="s">
        <v>55</v>
      </c>
      <c r="B4" s="13" t="n">
        <f aca="false">IF(B3&lt;=Assumptions!B7,Assumptions!B8,1)</f>
        <v>0.6</v>
      </c>
      <c r="C4" s="13" t="n">
        <f aca="false">IF(C3&lt;=Assumptions!B7,Assumptions!B8,1)</f>
        <v>0.6</v>
      </c>
      <c r="D4" s="13" t="n">
        <f aca="false">IF(D3&lt;=Assumptions!B7,Assumptions!B8,1)</f>
        <v>1</v>
      </c>
      <c r="E4" s="13" t="n">
        <f aca="false">IF(E3&lt;=Assumptions!B7,Assumptions!B8,1)</f>
        <v>1</v>
      </c>
      <c r="F4" s="13" t="n">
        <f aca="false">IF(F3&lt;=Assumptions!B7,Assumptions!B8,1)</f>
        <v>1</v>
      </c>
      <c r="G4" s="13" t="n">
        <f aca="false">IF(G3&lt;=Assumptions!B7,Assumptions!B8,1)</f>
        <v>1</v>
      </c>
      <c r="H4" s="13" t="n">
        <f aca="false">IF(H3&lt;=Assumptions!B7,Assumptions!B8,1)</f>
        <v>1</v>
      </c>
      <c r="I4" s="13" t="n">
        <f aca="false">IF(I3&lt;=Assumptions!B7,Assumptions!B8,1)</f>
        <v>1</v>
      </c>
      <c r="J4" s="13" t="n">
        <f aca="false">IF(J3&lt;=Assumptions!B7,Assumptions!B8,1)</f>
        <v>1</v>
      </c>
      <c r="K4" s="13" t="n">
        <f aca="false">IF(K3&lt;=Assumptions!B7,Assumptions!B8,1)</f>
        <v>1</v>
      </c>
      <c r="L4" s="13" t="n">
        <f aca="false">IF(L3&lt;=Assumptions!B7,Assumptions!B8,1)</f>
        <v>1</v>
      </c>
      <c r="M4" s="13" t="n">
        <f aca="false">IF(M3&lt;=Assumptions!B7,Assumptions!B8,1)</f>
        <v>1</v>
      </c>
      <c r="N4" s="13" t="n">
        <f aca="false">IF(N3&lt;=Assumptions!B7,Assumptions!B8,1)</f>
        <v>1</v>
      </c>
      <c r="O4" s="13" t="n">
        <f aca="false">IF(O3&lt;=Assumptions!B7,Assumptions!B8,1)</f>
        <v>1</v>
      </c>
      <c r="P4" s="13" t="n">
        <f aca="false">IF(P3&lt;=Assumptions!B7,Assumptions!B8,1)</f>
        <v>1</v>
      </c>
      <c r="Q4" s="13" t="n">
        <f aca="false">IF(Q3&lt;=Assumptions!B7,Assumptions!B8,1)</f>
        <v>1</v>
      </c>
      <c r="R4" s="13" t="n">
        <f aca="false">IF(R3&lt;=Assumptions!B7,Assumptions!B8,1)</f>
        <v>1</v>
      </c>
      <c r="S4" s="13" t="n">
        <f aca="false">IF(S3&lt;=Assumptions!B7,Assumptions!B8,1)</f>
        <v>1</v>
      </c>
      <c r="T4" s="13" t="n">
        <f aca="false">IF(T3&lt;=Assumptions!B7,Assumptions!B8,1)</f>
        <v>1</v>
      </c>
      <c r="U4" s="13" t="n">
        <f aca="false">IF(U3&lt;=Assumptions!B7,Assumptions!B8,1)</f>
        <v>1</v>
      </c>
      <c r="V4" s="13" t="n">
        <f aca="false">IF(V3&lt;=Assumptions!B7,Assumptions!B8,1)</f>
        <v>1</v>
      </c>
      <c r="W4" s="13" t="n">
        <f aca="false">IF(W3&lt;=Assumptions!B7,Assumptions!B8,1)</f>
        <v>1</v>
      </c>
      <c r="X4" s="13" t="n">
        <f aca="false">IF(X3&lt;=Assumptions!B7,Assumptions!B8,1)</f>
        <v>1</v>
      </c>
      <c r="Y4" s="13" t="n">
        <f aca="false">IF(Y3&lt;=Assumptions!B7,Assumptions!B8,1)</f>
        <v>1</v>
      </c>
      <c r="Z4" s="13" t="n">
        <f aca="false">IF(Z3&lt;=Assumptions!B7,Assumptions!B8,1)</f>
        <v>1</v>
      </c>
      <c r="AA4" s="13" t="n">
        <f aca="false">IF(AA3&lt;=Assumptions!B7,Assumptions!B8,1)</f>
        <v>1</v>
      </c>
    </row>
    <row r="5" customFormat="false" ht="15" hidden="false" customHeight="false" outlineLevel="0" collapsed="false">
      <c r="A5" s="2" t="s">
        <v>56</v>
      </c>
      <c r="B5" s="2" t="n">
        <f aca="false">ROUND(Assumptions!B24*B4,0)</f>
        <v>130</v>
      </c>
      <c r="C5" s="2" t="n">
        <f aca="false">ROUND(Assumptions!B24*C4,0)</f>
        <v>130</v>
      </c>
      <c r="D5" s="2" t="n">
        <f aca="false">ROUND(Assumptions!B24*D4,0)</f>
        <v>216</v>
      </c>
      <c r="E5" s="2" t="n">
        <f aca="false">ROUND(Assumptions!B24*E4,0)</f>
        <v>216</v>
      </c>
      <c r="F5" s="2" t="n">
        <f aca="false">ROUND(Assumptions!B24*F4,0)</f>
        <v>216</v>
      </c>
      <c r="G5" s="2" t="n">
        <f aca="false">ROUND(Assumptions!B24*G4,0)</f>
        <v>216</v>
      </c>
      <c r="H5" s="2" t="n">
        <f aca="false">ROUND(Assumptions!B24*H4,0)</f>
        <v>216</v>
      </c>
      <c r="I5" s="2" t="n">
        <f aca="false">ROUND(Assumptions!B24*I4,0)</f>
        <v>216</v>
      </c>
      <c r="J5" s="2" t="n">
        <f aca="false">ROUND(Assumptions!B24*J4,0)</f>
        <v>216</v>
      </c>
      <c r="K5" s="2" t="n">
        <f aca="false">ROUND(Assumptions!B24*K4,0)</f>
        <v>216</v>
      </c>
      <c r="L5" s="2" t="n">
        <f aca="false">ROUND(Assumptions!B24*L4,0)</f>
        <v>216</v>
      </c>
      <c r="M5" s="2" t="n">
        <f aca="false">ROUND(Assumptions!B24*M4,0)</f>
        <v>216</v>
      </c>
      <c r="N5" s="2" t="n">
        <f aca="false">ROUND(Assumptions!B24*N4,0)</f>
        <v>216</v>
      </c>
      <c r="O5" s="2" t="n">
        <f aca="false">ROUND(Assumptions!B24*O4,0)</f>
        <v>216</v>
      </c>
      <c r="P5" s="2" t="n">
        <f aca="false">ROUND(Assumptions!B24*P4,0)</f>
        <v>216</v>
      </c>
      <c r="Q5" s="2" t="n">
        <f aca="false">ROUND(Assumptions!B24*Q4,0)</f>
        <v>216</v>
      </c>
      <c r="R5" s="2" t="n">
        <f aca="false">ROUND(Assumptions!B24*R4,0)</f>
        <v>216</v>
      </c>
      <c r="S5" s="2" t="n">
        <f aca="false">ROUND(Assumptions!B24*S4,0)</f>
        <v>216</v>
      </c>
      <c r="T5" s="2" t="n">
        <f aca="false">ROUND(Assumptions!B24*T4,0)</f>
        <v>216</v>
      </c>
      <c r="U5" s="2" t="n">
        <f aca="false">ROUND(Assumptions!B24*U4,0)</f>
        <v>216</v>
      </c>
      <c r="V5" s="2" t="n">
        <f aca="false">ROUND(Assumptions!B24*V4,0)</f>
        <v>216</v>
      </c>
      <c r="W5" s="2" t="n">
        <f aca="false">ROUND(Assumptions!B24*W4,0)</f>
        <v>216</v>
      </c>
      <c r="X5" s="2" t="n">
        <f aca="false">ROUND(Assumptions!B24*X4,0)</f>
        <v>216</v>
      </c>
      <c r="Y5" s="2" t="n">
        <f aca="false">ROUND(Assumptions!B24*Y4,0)</f>
        <v>216</v>
      </c>
      <c r="Z5" s="2" t="n">
        <f aca="false">ROUND(Assumptions!B24*Z4,0)</f>
        <v>216</v>
      </c>
      <c r="AA5" s="2" t="n">
        <f aca="false">ROUND(Assumptions!B24*AA4,0)</f>
        <v>216</v>
      </c>
    </row>
    <row r="6" customFormat="false" ht="15" hidden="false" customHeight="false" outlineLevel="0" collapsed="false">
      <c r="A6" s="2" t="s">
        <v>57</v>
      </c>
      <c r="B6" s="10" t="n">
        <f aca="false">B5*Assumptions!B11</f>
        <v>12350</v>
      </c>
      <c r="C6" s="10" t="n">
        <f aca="false">C5*Assumptions!B11</f>
        <v>12350</v>
      </c>
      <c r="D6" s="10" t="n">
        <f aca="false">D5*Assumptions!B11</f>
        <v>20520</v>
      </c>
      <c r="E6" s="10" t="n">
        <f aca="false">E5*Assumptions!B11</f>
        <v>20520</v>
      </c>
      <c r="F6" s="10" t="n">
        <f aca="false">F5*Assumptions!B11</f>
        <v>20520</v>
      </c>
      <c r="G6" s="10" t="n">
        <f aca="false">G5*Assumptions!B11</f>
        <v>20520</v>
      </c>
      <c r="H6" s="10" t="n">
        <f aca="false">H5*Assumptions!B11</f>
        <v>20520</v>
      </c>
      <c r="I6" s="10" t="n">
        <f aca="false">I5*Assumptions!B11</f>
        <v>20520</v>
      </c>
      <c r="J6" s="10" t="n">
        <f aca="false">J5*Assumptions!B11</f>
        <v>20520</v>
      </c>
      <c r="K6" s="10" t="n">
        <f aca="false">K5*Assumptions!B11</f>
        <v>20520</v>
      </c>
      <c r="L6" s="10" t="n">
        <f aca="false">L5*Assumptions!B11</f>
        <v>20520</v>
      </c>
      <c r="M6" s="10" t="n">
        <f aca="false">M5*Assumptions!B11</f>
        <v>20520</v>
      </c>
      <c r="N6" s="10" t="n">
        <f aca="false">N5*Assumptions!B11</f>
        <v>20520</v>
      </c>
      <c r="O6" s="10" t="n">
        <f aca="false">O5*Assumptions!B11</f>
        <v>20520</v>
      </c>
      <c r="P6" s="10" t="n">
        <f aca="false">P5*Assumptions!B11</f>
        <v>20520</v>
      </c>
      <c r="Q6" s="10" t="n">
        <f aca="false">Q5*Assumptions!B11</f>
        <v>20520</v>
      </c>
      <c r="R6" s="10" t="n">
        <f aca="false">R5*Assumptions!B11</f>
        <v>20520</v>
      </c>
      <c r="S6" s="10" t="n">
        <f aca="false">S5*Assumptions!B11</f>
        <v>20520</v>
      </c>
      <c r="T6" s="10" t="n">
        <f aca="false">T5*Assumptions!B11</f>
        <v>20520</v>
      </c>
      <c r="U6" s="10" t="n">
        <f aca="false">U5*Assumptions!B11</f>
        <v>20520</v>
      </c>
      <c r="V6" s="10" t="n">
        <f aca="false">V5*Assumptions!B11</f>
        <v>20520</v>
      </c>
      <c r="W6" s="10" t="n">
        <f aca="false">W5*Assumptions!B11</f>
        <v>20520</v>
      </c>
      <c r="X6" s="10" t="n">
        <f aca="false">X5*Assumptions!B11</f>
        <v>20520</v>
      </c>
      <c r="Y6" s="10" t="n">
        <f aca="false">Y5*Assumptions!B11</f>
        <v>20520</v>
      </c>
      <c r="Z6" s="10" t="n">
        <f aca="false">Z5*Assumptions!B11</f>
        <v>20520</v>
      </c>
      <c r="AA6" s="10" t="n">
        <f aca="false">AA5*Assumptions!B11</f>
        <v>20520</v>
      </c>
    </row>
    <row r="7" customFormat="false" ht="15" hidden="false" customHeight="false" outlineLevel="0" collapsed="false">
      <c r="A7" s="2" t="s">
        <v>58</v>
      </c>
      <c r="B7" s="10" t="n">
        <f aca="false">B6*(1-Assumptions!B12)</f>
        <v>11856</v>
      </c>
      <c r="C7" s="10" t="n">
        <f aca="false">C6*(1-Assumptions!B12)</f>
        <v>11856</v>
      </c>
      <c r="D7" s="10" t="n">
        <f aca="false">D6*(1-Assumptions!B12)</f>
        <v>19699.2</v>
      </c>
      <c r="E7" s="10" t="n">
        <f aca="false">E6*(1-Assumptions!B12)</f>
        <v>19699.2</v>
      </c>
      <c r="F7" s="10" t="n">
        <f aca="false">F6*(1-Assumptions!B12)</f>
        <v>19699.2</v>
      </c>
      <c r="G7" s="10" t="n">
        <f aca="false">G6*(1-Assumptions!B12)</f>
        <v>19699.2</v>
      </c>
      <c r="H7" s="10" t="n">
        <f aca="false">H6*(1-Assumptions!B12)</f>
        <v>19699.2</v>
      </c>
      <c r="I7" s="10" t="n">
        <f aca="false">I6*(1-Assumptions!B12)</f>
        <v>19699.2</v>
      </c>
      <c r="J7" s="10" t="n">
        <f aca="false">J6*(1-Assumptions!B12)</f>
        <v>19699.2</v>
      </c>
      <c r="K7" s="10" t="n">
        <f aca="false">K6*(1-Assumptions!B12)</f>
        <v>19699.2</v>
      </c>
      <c r="L7" s="10" t="n">
        <f aca="false">L6*(1-Assumptions!B12)</f>
        <v>19699.2</v>
      </c>
      <c r="M7" s="10" t="n">
        <f aca="false">M6*(1-Assumptions!B12)</f>
        <v>19699.2</v>
      </c>
      <c r="N7" s="10" t="n">
        <f aca="false">N6*(1-Assumptions!B12)</f>
        <v>19699.2</v>
      </c>
      <c r="O7" s="10" t="n">
        <f aca="false">O6*(1-Assumptions!B12)</f>
        <v>19699.2</v>
      </c>
      <c r="P7" s="10" t="n">
        <f aca="false">P6*(1-Assumptions!B12)</f>
        <v>19699.2</v>
      </c>
      <c r="Q7" s="10" t="n">
        <f aca="false">Q6*(1-Assumptions!B12)</f>
        <v>19699.2</v>
      </c>
      <c r="R7" s="10" t="n">
        <f aca="false">R6*(1-Assumptions!B12)</f>
        <v>19699.2</v>
      </c>
      <c r="S7" s="10" t="n">
        <f aca="false">S6*(1-Assumptions!B12)</f>
        <v>19699.2</v>
      </c>
      <c r="T7" s="10" t="n">
        <f aca="false">T6*(1-Assumptions!B12)</f>
        <v>19699.2</v>
      </c>
      <c r="U7" s="10" t="n">
        <f aca="false">U6*(1-Assumptions!B12)</f>
        <v>19699.2</v>
      </c>
      <c r="V7" s="10" t="n">
        <f aca="false">V6*(1-Assumptions!B12)</f>
        <v>19699.2</v>
      </c>
      <c r="W7" s="10" t="n">
        <f aca="false">W6*(1-Assumptions!B12)</f>
        <v>19699.2</v>
      </c>
      <c r="X7" s="10" t="n">
        <f aca="false">X6*(1-Assumptions!B12)</f>
        <v>19699.2</v>
      </c>
      <c r="Y7" s="10" t="n">
        <f aca="false">Y6*(1-Assumptions!B12)</f>
        <v>19699.2</v>
      </c>
      <c r="Z7" s="10" t="n">
        <f aca="false">Z6*(1-Assumptions!B12)</f>
        <v>19699.2</v>
      </c>
      <c r="AA7" s="10" t="n">
        <f aca="false">AA6*(1-Assumptions!B12)</f>
        <v>19699.2</v>
      </c>
    </row>
    <row r="8" customFormat="false" ht="15" hidden="false" customHeight="false" outlineLevel="0" collapsed="false">
      <c r="A8" s="2" t="s">
        <v>59</v>
      </c>
      <c r="B8" s="10" t="n">
        <f aca="false">IF(B3&gt;Assumptions!$B$13,INDEX($B$7:$AA$7,1,B3-Assumptions!$B$13),0)</f>
        <v>0</v>
      </c>
      <c r="C8" s="10" t="n">
        <f aca="false">IF(C3&gt;Assumptions!$B$13,INDEX($B$7:$AA$7,1,C3-Assumptions!$B$13),0)</f>
        <v>0</v>
      </c>
      <c r="D8" s="10" t="n">
        <f aca="false">IF(D3&gt;Assumptions!$B$13,INDEX($B$7:$AA$7,1,D3-Assumptions!$B$13),0)</f>
        <v>0</v>
      </c>
      <c r="E8" s="10" t="n">
        <f aca="false">IF(E3&gt;Assumptions!$B$13,INDEX($B$7:$AA$7,1,E3-Assumptions!$B$13),0)</f>
        <v>0</v>
      </c>
      <c r="F8" s="10" t="n">
        <f aca="false">IF(F3&gt;Assumptions!$B$13,INDEX($B$7:$AA$7,1,F3-Assumptions!$B$13),0)</f>
        <v>0</v>
      </c>
      <c r="G8" s="10" t="n">
        <f aca="false">IF(G3&gt;Assumptions!$B$13,INDEX($B$7:$AA$7,1,G3-Assumptions!$B$13),0)</f>
        <v>11856</v>
      </c>
      <c r="H8" s="10" t="n">
        <f aca="false">IF(H3&gt;Assumptions!$B$13,INDEX($B$7:$AA$7,1,H3-Assumptions!$B$13),0)</f>
        <v>11856</v>
      </c>
      <c r="I8" s="10" t="n">
        <f aca="false">IF(I3&gt;Assumptions!$B$13,INDEX($B$7:$AA$7,1,I3-Assumptions!$B$13),0)</f>
        <v>19699.2</v>
      </c>
      <c r="J8" s="10" t="n">
        <f aca="false">IF(J3&gt;Assumptions!$B$13,INDEX($B$7:$AA$7,1,J3-Assumptions!$B$13),0)</f>
        <v>19699.2</v>
      </c>
      <c r="K8" s="10" t="n">
        <f aca="false">IF(K3&gt;Assumptions!$B$13,INDEX($B$7:$AA$7,1,K3-Assumptions!$B$13),0)</f>
        <v>19699.2</v>
      </c>
      <c r="L8" s="10" t="n">
        <f aca="false">IF(L3&gt;Assumptions!$B$13,INDEX($B$7:$AA$7,1,L3-Assumptions!$B$13),0)</f>
        <v>19699.2</v>
      </c>
      <c r="M8" s="10" t="n">
        <f aca="false">IF(M3&gt;Assumptions!$B$13,INDEX($B$7:$AA$7,1,M3-Assumptions!$B$13),0)</f>
        <v>19699.2</v>
      </c>
      <c r="N8" s="10" t="n">
        <f aca="false">IF(N3&gt;Assumptions!$B$13,INDEX($B$7:$AA$7,1,N3-Assumptions!$B$13),0)</f>
        <v>19699.2</v>
      </c>
      <c r="O8" s="10" t="n">
        <f aca="false">IF(O3&gt;Assumptions!$B$13,INDEX($B$7:$AA$7,1,O3-Assumptions!$B$13),0)</f>
        <v>19699.2</v>
      </c>
      <c r="P8" s="10" t="n">
        <f aca="false">IF(P3&gt;Assumptions!$B$13,INDEX($B$7:$AA$7,1,P3-Assumptions!$B$13),0)</f>
        <v>19699.2</v>
      </c>
      <c r="Q8" s="10" t="n">
        <f aca="false">IF(Q3&gt;Assumptions!$B$13,INDEX($B$7:$AA$7,1,Q3-Assumptions!$B$13),0)</f>
        <v>19699.2</v>
      </c>
      <c r="R8" s="10" t="n">
        <f aca="false">IF(R3&gt;Assumptions!$B$13,INDEX($B$7:$AA$7,1,R3-Assumptions!$B$13),0)</f>
        <v>19699.2</v>
      </c>
      <c r="S8" s="10" t="n">
        <f aca="false">IF(S3&gt;Assumptions!$B$13,INDEX($B$7:$AA$7,1,S3-Assumptions!$B$13),0)</f>
        <v>19699.2</v>
      </c>
      <c r="T8" s="10" t="n">
        <f aca="false">IF(T3&gt;Assumptions!$B$13,INDEX($B$7:$AA$7,1,T3-Assumptions!$B$13),0)</f>
        <v>19699.2</v>
      </c>
      <c r="U8" s="10" t="n">
        <f aca="false">IF(U3&gt;Assumptions!$B$13,INDEX($B$7:$AA$7,1,U3-Assumptions!$B$13),0)</f>
        <v>19699.2</v>
      </c>
      <c r="V8" s="10" t="n">
        <f aca="false">IF(V3&gt;Assumptions!$B$13,INDEX($B$7:$AA$7,1,V3-Assumptions!$B$13),0)</f>
        <v>19699.2</v>
      </c>
      <c r="W8" s="10" t="n">
        <f aca="false">IF(W3&gt;Assumptions!$B$13,INDEX($B$7:$AA$7,1,W3-Assumptions!$B$13),0)</f>
        <v>19699.2</v>
      </c>
      <c r="X8" s="10" t="n">
        <f aca="false">IF(X3&gt;Assumptions!$B$13,INDEX($B$7:$AA$7,1,X3-Assumptions!$B$13),0)</f>
        <v>19699.2</v>
      </c>
      <c r="Y8" s="10" t="n">
        <f aca="false">IF(Y3&gt;Assumptions!$B$13,INDEX($B$7:$AA$7,1,Y3-Assumptions!$B$13),0)</f>
        <v>19699.2</v>
      </c>
      <c r="Z8" s="10" t="n">
        <f aca="false">IF(Z3&gt;Assumptions!$B$13,INDEX($B$7:$AA$7,1,Z3-Assumptions!$B$13),0)</f>
        <v>19699.2</v>
      </c>
      <c r="AA8" s="10" t="n">
        <f aca="false">IF(AA3&gt;Assumptions!$B$13,INDEX($B$7:$AA$7,1,AA3-Assumptions!$B$13),0)</f>
        <v>19699.2</v>
      </c>
    </row>
    <row r="9" customFormat="false" ht="15" hidden="false" customHeight="false" outlineLevel="0" collapsed="false">
      <c r="A9" s="2" t="s">
        <v>60</v>
      </c>
      <c r="B9" s="10" t="n">
        <f aca="false">Assumptions!B25*MAX(B4,Assumptions!$B$21)</f>
        <v>7632</v>
      </c>
      <c r="C9" s="10" t="n">
        <f aca="false">Assumptions!B25*MAX(C4,Assumptions!$B$21)</f>
        <v>7632</v>
      </c>
      <c r="D9" s="10" t="n">
        <f aca="false">Assumptions!B25*MAX(D4,Assumptions!$B$21)</f>
        <v>9540</v>
      </c>
      <c r="E9" s="10" t="n">
        <f aca="false">Assumptions!B25*MAX(E4,Assumptions!$B$21)</f>
        <v>9540</v>
      </c>
      <c r="F9" s="10" t="n">
        <f aca="false">Assumptions!B25*MAX(F4,Assumptions!$B$21)</f>
        <v>9540</v>
      </c>
      <c r="G9" s="10" t="n">
        <f aca="false">Assumptions!B25*MAX(G4,Assumptions!$B$21)</f>
        <v>9540</v>
      </c>
      <c r="H9" s="10" t="n">
        <f aca="false">Assumptions!B25*MAX(H4,Assumptions!$B$21)</f>
        <v>9540</v>
      </c>
      <c r="I9" s="10" t="n">
        <f aca="false">Assumptions!B25*MAX(I4,Assumptions!$B$21)</f>
        <v>9540</v>
      </c>
      <c r="J9" s="10" t="n">
        <f aca="false">Assumptions!B25*MAX(J4,Assumptions!$B$21)</f>
        <v>9540</v>
      </c>
      <c r="K9" s="10" t="n">
        <f aca="false">Assumptions!B25*MAX(K4,Assumptions!$B$21)</f>
        <v>9540</v>
      </c>
      <c r="L9" s="10" t="n">
        <f aca="false">Assumptions!B25*MAX(L4,Assumptions!$B$21)</f>
        <v>9540</v>
      </c>
      <c r="M9" s="10" t="n">
        <f aca="false">Assumptions!B25*MAX(M4,Assumptions!$B$21)</f>
        <v>9540</v>
      </c>
      <c r="N9" s="10" t="n">
        <f aca="false">Assumptions!B25*MAX(N4,Assumptions!$B$21)</f>
        <v>9540</v>
      </c>
      <c r="O9" s="10" t="n">
        <f aca="false">Assumptions!B25*MAX(O4,Assumptions!$B$21)</f>
        <v>9540</v>
      </c>
      <c r="P9" s="10" t="n">
        <f aca="false">Assumptions!B25*MAX(P4,Assumptions!$B$21)</f>
        <v>9540</v>
      </c>
      <c r="Q9" s="10" t="n">
        <f aca="false">Assumptions!B25*MAX(Q4,Assumptions!$B$21)</f>
        <v>9540</v>
      </c>
      <c r="R9" s="10" t="n">
        <f aca="false">Assumptions!B25*MAX(R4,Assumptions!$B$21)</f>
        <v>9540</v>
      </c>
      <c r="S9" s="10" t="n">
        <f aca="false">Assumptions!B25*MAX(S4,Assumptions!$B$21)</f>
        <v>9540</v>
      </c>
      <c r="T9" s="10" t="n">
        <f aca="false">Assumptions!B25*MAX(T4,Assumptions!$B$21)</f>
        <v>9540</v>
      </c>
      <c r="U9" s="10" t="n">
        <f aca="false">Assumptions!B25*MAX(U4,Assumptions!$B$21)</f>
        <v>9540</v>
      </c>
      <c r="V9" s="10" t="n">
        <f aca="false">Assumptions!B25*MAX(V4,Assumptions!$B$21)</f>
        <v>9540</v>
      </c>
      <c r="W9" s="10" t="n">
        <f aca="false">Assumptions!B25*MAX(W4,Assumptions!$B$21)</f>
        <v>9540</v>
      </c>
      <c r="X9" s="10" t="n">
        <f aca="false">Assumptions!B25*MAX(X4,Assumptions!$B$21)</f>
        <v>9540</v>
      </c>
      <c r="Y9" s="10" t="n">
        <f aca="false">Assumptions!B25*MAX(Y4,Assumptions!$B$21)</f>
        <v>9540</v>
      </c>
      <c r="Z9" s="10" t="n">
        <f aca="false">Assumptions!B25*MAX(Z4,Assumptions!$B$21)</f>
        <v>9540</v>
      </c>
      <c r="AA9" s="10" t="n">
        <f aca="false">Assumptions!B25*MAX(AA4,Assumptions!$B$21)</f>
        <v>9540</v>
      </c>
    </row>
    <row r="10" customFormat="false" ht="15" hidden="false" customHeight="false" outlineLevel="0" collapsed="false">
      <c r="A10" s="2" t="s">
        <v>61</v>
      </c>
      <c r="B10" s="10" t="n">
        <f aca="false">Assumptions!B26</f>
        <v>3860</v>
      </c>
      <c r="C10" s="10" t="n">
        <f aca="false">Assumptions!B26</f>
        <v>3860</v>
      </c>
      <c r="D10" s="10" t="n">
        <f aca="false">Assumptions!B26</f>
        <v>3860</v>
      </c>
      <c r="E10" s="10" t="n">
        <f aca="false">Assumptions!B26</f>
        <v>3860</v>
      </c>
      <c r="F10" s="10" t="n">
        <f aca="false">Assumptions!B26</f>
        <v>3860</v>
      </c>
      <c r="G10" s="10" t="n">
        <f aca="false">Assumptions!B26</f>
        <v>3860</v>
      </c>
      <c r="H10" s="10" t="n">
        <f aca="false">Assumptions!B26</f>
        <v>3860</v>
      </c>
      <c r="I10" s="10" t="n">
        <f aca="false">Assumptions!B26</f>
        <v>3860</v>
      </c>
      <c r="J10" s="10" t="n">
        <f aca="false">Assumptions!B26</f>
        <v>3860</v>
      </c>
      <c r="K10" s="10" t="n">
        <f aca="false">Assumptions!B26</f>
        <v>3860</v>
      </c>
      <c r="L10" s="10" t="n">
        <f aca="false">Assumptions!B26</f>
        <v>3860</v>
      </c>
      <c r="M10" s="10" t="n">
        <f aca="false">Assumptions!B26</f>
        <v>3860</v>
      </c>
      <c r="N10" s="10" t="n">
        <f aca="false">Assumptions!B26</f>
        <v>3860</v>
      </c>
      <c r="O10" s="10" t="n">
        <f aca="false">Assumptions!B26</f>
        <v>3860</v>
      </c>
      <c r="P10" s="10" t="n">
        <f aca="false">Assumptions!B26</f>
        <v>3860</v>
      </c>
      <c r="Q10" s="10" t="n">
        <f aca="false">Assumptions!B26</f>
        <v>3860</v>
      </c>
      <c r="R10" s="10" t="n">
        <f aca="false">Assumptions!B26</f>
        <v>3860</v>
      </c>
      <c r="S10" s="10" t="n">
        <f aca="false">Assumptions!B26</f>
        <v>3860</v>
      </c>
      <c r="T10" s="10" t="n">
        <f aca="false">Assumptions!B26</f>
        <v>3860</v>
      </c>
      <c r="U10" s="10" t="n">
        <f aca="false">Assumptions!B26</f>
        <v>3860</v>
      </c>
      <c r="V10" s="10" t="n">
        <f aca="false">Assumptions!B26</f>
        <v>3860</v>
      </c>
      <c r="W10" s="10" t="n">
        <f aca="false">Assumptions!B26</f>
        <v>3860</v>
      </c>
      <c r="X10" s="10" t="n">
        <f aca="false">Assumptions!B26</f>
        <v>3860</v>
      </c>
      <c r="Y10" s="10" t="n">
        <f aca="false">Assumptions!B26</f>
        <v>3860</v>
      </c>
      <c r="Z10" s="10" t="n">
        <f aca="false">Assumptions!B26</f>
        <v>3860</v>
      </c>
      <c r="AA10" s="10" t="n">
        <f aca="false">Assumptions!B26</f>
        <v>3860</v>
      </c>
    </row>
    <row r="11" customFormat="false" ht="15" hidden="false" customHeight="false" outlineLevel="0" collapsed="false">
      <c r="A11" s="2" t="s">
        <v>62</v>
      </c>
      <c r="B11" s="10" t="n">
        <f aca="false">B9+B10</f>
        <v>11492</v>
      </c>
      <c r="C11" s="10" t="n">
        <f aca="false">C9+C10</f>
        <v>11492</v>
      </c>
      <c r="D11" s="10" t="n">
        <f aca="false">D9+D10</f>
        <v>13400</v>
      </c>
      <c r="E11" s="10" t="n">
        <f aca="false">E9+E10</f>
        <v>13400</v>
      </c>
      <c r="F11" s="10" t="n">
        <f aca="false">F9+F10</f>
        <v>13400</v>
      </c>
      <c r="G11" s="10" t="n">
        <f aca="false">G9+G10</f>
        <v>13400</v>
      </c>
      <c r="H11" s="10" t="n">
        <f aca="false">H9+H10</f>
        <v>13400</v>
      </c>
      <c r="I11" s="10" t="n">
        <f aca="false">I9+I10</f>
        <v>13400</v>
      </c>
      <c r="J11" s="10" t="n">
        <f aca="false">J9+J10</f>
        <v>13400</v>
      </c>
      <c r="K11" s="10" t="n">
        <f aca="false">K9+K10</f>
        <v>13400</v>
      </c>
      <c r="L11" s="10" t="n">
        <f aca="false">L9+L10</f>
        <v>13400</v>
      </c>
      <c r="M11" s="10" t="n">
        <f aca="false">M9+M10</f>
        <v>13400</v>
      </c>
      <c r="N11" s="10" t="n">
        <f aca="false">N9+N10</f>
        <v>13400</v>
      </c>
      <c r="O11" s="10" t="n">
        <f aca="false">O9+O10</f>
        <v>13400</v>
      </c>
      <c r="P11" s="10" t="n">
        <f aca="false">P9+P10</f>
        <v>13400</v>
      </c>
      <c r="Q11" s="10" t="n">
        <f aca="false">Q9+Q10</f>
        <v>13400</v>
      </c>
      <c r="R11" s="10" t="n">
        <f aca="false">R9+R10</f>
        <v>13400</v>
      </c>
      <c r="S11" s="10" t="n">
        <f aca="false">S9+S10</f>
        <v>13400</v>
      </c>
      <c r="T11" s="10" t="n">
        <f aca="false">T9+T10</f>
        <v>13400</v>
      </c>
      <c r="U11" s="10" t="n">
        <f aca="false">U9+U10</f>
        <v>13400</v>
      </c>
      <c r="V11" s="10" t="n">
        <f aca="false">V9+V10</f>
        <v>13400</v>
      </c>
      <c r="W11" s="10" t="n">
        <f aca="false">W9+W10</f>
        <v>13400</v>
      </c>
      <c r="X11" s="10" t="n">
        <f aca="false">X9+X10</f>
        <v>13400</v>
      </c>
      <c r="Y11" s="10" t="n">
        <f aca="false">Y9+Y10</f>
        <v>13400</v>
      </c>
      <c r="Z11" s="10" t="n">
        <f aca="false">Z9+Z10</f>
        <v>13400</v>
      </c>
      <c r="AA11" s="10" t="n">
        <f aca="false">AA9+AA10</f>
        <v>13400</v>
      </c>
    </row>
    <row r="12" customFormat="false" ht="15" hidden="false" customHeight="false" outlineLevel="0" collapsed="false">
      <c r="A12" s="1" t="s">
        <v>63</v>
      </c>
      <c r="B12" s="10" t="n">
        <f aca="false">B8-B11</f>
        <v>-11492</v>
      </c>
      <c r="C12" s="10" t="n">
        <f aca="false">C8-C11</f>
        <v>-11492</v>
      </c>
      <c r="D12" s="10" t="n">
        <f aca="false">D8-D11</f>
        <v>-13400</v>
      </c>
      <c r="E12" s="10" t="n">
        <f aca="false">E8-E11</f>
        <v>-13400</v>
      </c>
      <c r="F12" s="10" t="n">
        <f aca="false">F8-F11</f>
        <v>-13400</v>
      </c>
      <c r="G12" s="10" t="n">
        <f aca="false">G8-G11</f>
        <v>-1544</v>
      </c>
      <c r="H12" s="10" t="n">
        <f aca="false">H8-H11</f>
        <v>-1544</v>
      </c>
      <c r="I12" s="10" t="n">
        <f aca="false">I8-I11</f>
        <v>6299.2</v>
      </c>
      <c r="J12" s="10" t="n">
        <f aca="false">J8-J11</f>
        <v>6299.2</v>
      </c>
      <c r="K12" s="10" t="n">
        <f aca="false">K8-K11</f>
        <v>6299.2</v>
      </c>
      <c r="L12" s="10" t="n">
        <f aca="false">L8-L11</f>
        <v>6299.2</v>
      </c>
      <c r="M12" s="10" t="n">
        <f aca="false">M8-M11</f>
        <v>6299.2</v>
      </c>
      <c r="N12" s="10" t="n">
        <f aca="false">N8-N11</f>
        <v>6299.2</v>
      </c>
      <c r="O12" s="10" t="n">
        <f aca="false">O8-O11</f>
        <v>6299.2</v>
      </c>
      <c r="P12" s="10" t="n">
        <f aca="false">P8-P11</f>
        <v>6299.2</v>
      </c>
      <c r="Q12" s="10" t="n">
        <f aca="false">Q8-Q11</f>
        <v>6299.2</v>
      </c>
      <c r="R12" s="10" t="n">
        <f aca="false">R8-R11</f>
        <v>6299.2</v>
      </c>
      <c r="S12" s="10" t="n">
        <f aca="false">S8-S11</f>
        <v>6299.2</v>
      </c>
      <c r="T12" s="10" t="n">
        <f aca="false">T8-T11</f>
        <v>6299.2</v>
      </c>
      <c r="U12" s="10" t="n">
        <f aca="false">U8-U11</f>
        <v>6299.2</v>
      </c>
      <c r="V12" s="10" t="n">
        <f aca="false">V8-V11</f>
        <v>6299.2</v>
      </c>
      <c r="W12" s="10" t="n">
        <f aca="false">W8-W11</f>
        <v>6299.2</v>
      </c>
      <c r="X12" s="10" t="n">
        <f aca="false">X8-X11</f>
        <v>6299.2</v>
      </c>
      <c r="Y12" s="10" t="n">
        <f aca="false">Y8-Y11</f>
        <v>6299.2</v>
      </c>
      <c r="Z12" s="10" t="n">
        <f aca="false">Z8-Z11</f>
        <v>6299.2</v>
      </c>
      <c r="AA12" s="10" t="n">
        <f aca="false">AA8-AA11</f>
        <v>6299.2</v>
      </c>
    </row>
    <row r="13" customFormat="false" ht="15" hidden="false" customHeight="false" outlineLevel="0" collapsed="false">
      <c r="A13" s="1" t="s">
        <v>64</v>
      </c>
      <c r="B13" s="10" t="n">
        <f aca="false">B12</f>
        <v>-11492</v>
      </c>
      <c r="C13" s="10" t="n">
        <f aca="false">B13+C12</f>
        <v>-22984</v>
      </c>
      <c r="D13" s="10" t="n">
        <f aca="false">C13+D12</f>
        <v>-36384</v>
      </c>
      <c r="E13" s="10" t="n">
        <f aca="false">D13+E12</f>
        <v>-49784</v>
      </c>
      <c r="F13" s="10" t="n">
        <f aca="false">E13+F12</f>
        <v>-63184</v>
      </c>
      <c r="G13" s="10" t="n">
        <f aca="false">F13+G12</f>
        <v>-64728</v>
      </c>
      <c r="H13" s="10" t="n">
        <f aca="false">G13+H12</f>
        <v>-66272</v>
      </c>
      <c r="I13" s="10" t="n">
        <f aca="false">H13+I12</f>
        <v>-59972.8</v>
      </c>
      <c r="J13" s="10" t="n">
        <f aca="false">I13+J12</f>
        <v>-53673.6</v>
      </c>
      <c r="K13" s="10" t="n">
        <f aca="false">J13+K12</f>
        <v>-47374.4</v>
      </c>
      <c r="L13" s="10" t="n">
        <f aca="false">K13+L12</f>
        <v>-41075.2</v>
      </c>
      <c r="M13" s="10" t="n">
        <f aca="false">L13+M12</f>
        <v>-34776</v>
      </c>
      <c r="N13" s="10" t="n">
        <f aca="false">M13+N12</f>
        <v>-28476.8</v>
      </c>
      <c r="O13" s="10" t="n">
        <f aca="false">N13+O12</f>
        <v>-22177.6</v>
      </c>
      <c r="P13" s="10" t="n">
        <f aca="false">O13+P12</f>
        <v>-15878.4</v>
      </c>
      <c r="Q13" s="10" t="n">
        <f aca="false">P13+Q12</f>
        <v>-9579.20000000001</v>
      </c>
      <c r="R13" s="10" t="n">
        <f aca="false">Q13+R12</f>
        <v>-3280.00000000001</v>
      </c>
      <c r="S13" s="10" t="n">
        <f aca="false">R13+S12</f>
        <v>3019.19999999999</v>
      </c>
      <c r="T13" s="10" t="n">
        <f aca="false">S13+T12</f>
        <v>9318.39999999999</v>
      </c>
      <c r="U13" s="10" t="n">
        <f aca="false">T13+U12</f>
        <v>15617.6</v>
      </c>
      <c r="V13" s="10" t="n">
        <f aca="false">U13+V12</f>
        <v>21916.8</v>
      </c>
      <c r="W13" s="10" t="n">
        <f aca="false">V13+W12</f>
        <v>28216</v>
      </c>
      <c r="X13" s="10" t="n">
        <f aca="false">W13+X12</f>
        <v>34515.2</v>
      </c>
      <c r="Y13" s="10" t="n">
        <f aca="false">X13+Y12</f>
        <v>40814.4</v>
      </c>
      <c r="Z13" s="10" t="n">
        <f aca="false">Y13+Z12</f>
        <v>47113.6</v>
      </c>
      <c r="AA13" s="10" t="n">
        <f aca="false">Z13+AA12</f>
        <v>53412.8</v>
      </c>
    </row>
    <row r="14" customFormat="false" ht="15" hidden="true" customHeight="false" outlineLevel="0" collapsed="false">
      <c r="A14" s="2" t="s">
        <v>65</v>
      </c>
      <c r="B14" s="2" t="n">
        <f aca="false">IF(B13&gt;0,1,0)</f>
        <v>0</v>
      </c>
      <c r="C14" s="2" t="n">
        <f aca="false">IF(C13&gt;0,1,0)</f>
        <v>0</v>
      </c>
      <c r="D14" s="2" t="n">
        <f aca="false">IF(D13&gt;0,1,0)</f>
        <v>0</v>
      </c>
      <c r="E14" s="2" t="n">
        <f aca="false">IF(E13&gt;0,1,0)</f>
        <v>0</v>
      </c>
      <c r="F14" s="2" t="n">
        <f aca="false">IF(F13&gt;0,1,0)</f>
        <v>0</v>
      </c>
      <c r="G14" s="2" t="n">
        <f aca="false">IF(G13&gt;0,1,0)</f>
        <v>0</v>
      </c>
      <c r="H14" s="2" t="n">
        <f aca="false">IF(H13&gt;0,1,0)</f>
        <v>0</v>
      </c>
      <c r="I14" s="2" t="n">
        <f aca="false">IF(I13&gt;0,1,0)</f>
        <v>0</v>
      </c>
      <c r="J14" s="2" t="n">
        <f aca="false">IF(J13&gt;0,1,0)</f>
        <v>0</v>
      </c>
      <c r="K14" s="2" t="n">
        <f aca="false">IF(K13&gt;0,1,0)</f>
        <v>0</v>
      </c>
      <c r="L14" s="2" t="n">
        <f aca="false">IF(L13&gt;0,1,0)</f>
        <v>0</v>
      </c>
      <c r="M14" s="2" t="n">
        <f aca="false">IF(M13&gt;0,1,0)</f>
        <v>0</v>
      </c>
      <c r="N14" s="2" t="n">
        <f aca="false">IF(N13&gt;0,1,0)</f>
        <v>0</v>
      </c>
      <c r="O14" s="2" t="n">
        <f aca="false">IF(O13&gt;0,1,0)</f>
        <v>0</v>
      </c>
      <c r="P14" s="2" t="n">
        <f aca="false">IF(P13&gt;0,1,0)</f>
        <v>0</v>
      </c>
      <c r="Q14" s="2" t="n">
        <f aca="false">IF(Q13&gt;0,1,0)</f>
        <v>0</v>
      </c>
      <c r="R14" s="2" t="n">
        <f aca="false">IF(R13&gt;0,1,0)</f>
        <v>0</v>
      </c>
      <c r="S14" s="2" t="n">
        <f aca="false">IF(S13&gt;0,1,0)</f>
        <v>1</v>
      </c>
      <c r="T14" s="2" t="n">
        <f aca="false">IF(T13&gt;0,1,0)</f>
        <v>1</v>
      </c>
      <c r="U14" s="2" t="n">
        <f aca="false">IF(U13&gt;0,1,0)</f>
        <v>1</v>
      </c>
      <c r="V14" s="2" t="n">
        <f aca="false">IF(V13&gt;0,1,0)</f>
        <v>1</v>
      </c>
      <c r="W14" s="2" t="n">
        <f aca="false">IF(W13&gt;0,1,0)</f>
        <v>1</v>
      </c>
      <c r="X14" s="2" t="n">
        <f aca="false">IF(X13&gt;0,1,0)</f>
        <v>1</v>
      </c>
      <c r="Y14" s="2" t="n">
        <f aca="false">IF(Y13&gt;0,1,0)</f>
        <v>1</v>
      </c>
      <c r="Z14" s="2" t="n">
        <f aca="false">IF(Z13&gt;0,1,0)</f>
        <v>1</v>
      </c>
      <c r="AA14" s="2" t="n">
        <f aca="false">IF(AA13&gt;0,1,0)</f>
        <v>1</v>
      </c>
    </row>
    <row r="15" customFormat="false" ht="15" hidden="false" customHeight="false" outlineLevel="0" collapsed="false">
      <c r="A15" s="2" t="s">
        <v>66</v>
      </c>
      <c r="B15" s="10" t="n">
        <f aca="false">B13-'Startup Costs'!$D$11+'Startup Costs'!$D$10</f>
        <v>-49492</v>
      </c>
      <c r="C15" s="10" t="n">
        <f aca="false">C13-'Startup Costs'!$D$11+'Startup Costs'!$D$10</f>
        <v>-60984</v>
      </c>
      <c r="D15" s="10" t="n">
        <f aca="false">D13-'Startup Costs'!$D$11+'Startup Costs'!$D$10</f>
        <v>-74384</v>
      </c>
      <c r="E15" s="10" t="n">
        <f aca="false">E13-'Startup Costs'!$D$11+'Startup Costs'!$D$10</f>
        <v>-87784</v>
      </c>
      <c r="F15" s="10" t="n">
        <f aca="false">F13-'Startup Costs'!$D$11+'Startup Costs'!$D$10</f>
        <v>-101184</v>
      </c>
      <c r="G15" s="10" t="n">
        <f aca="false">G13-'Startup Costs'!$D$11+'Startup Costs'!$D$10</f>
        <v>-102728</v>
      </c>
      <c r="H15" s="10" t="n">
        <f aca="false">H13-'Startup Costs'!$D$11+'Startup Costs'!$D$10</f>
        <v>-104272</v>
      </c>
      <c r="I15" s="10" t="n">
        <f aca="false">I13-'Startup Costs'!$D$11+'Startup Costs'!$D$10</f>
        <v>-97972.8</v>
      </c>
      <c r="J15" s="10" t="n">
        <f aca="false">J13-'Startup Costs'!$D$11+'Startup Costs'!$D$10</f>
        <v>-91673.6</v>
      </c>
      <c r="K15" s="10" t="n">
        <f aca="false">K13-'Startup Costs'!$D$11+'Startup Costs'!$D$10</f>
        <v>-85374.4</v>
      </c>
      <c r="L15" s="10" t="n">
        <f aca="false">L13-'Startup Costs'!$D$11+'Startup Costs'!$D$10</f>
        <v>-79075.2</v>
      </c>
      <c r="M15" s="10" t="n">
        <f aca="false">M13-'Startup Costs'!$D$11+'Startup Costs'!$D$10</f>
        <v>-72776</v>
      </c>
      <c r="N15" s="10" t="n">
        <f aca="false">N13-'Startup Costs'!$D$11+'Startup Costs'!$D$10</f>
        <v>-66476.8</v>
      </c>
      <c r="O15" s="10" t="n">
        <f aca="false">O13-'Startup Costs'!$D$11+'Startup Costs'!$D$10</f>
        <v>-60177.6</v>
      </c>
      <c r="P15" s="10" t="n">
        <f aca="false">P13-'Startup Costs'!$D$11+'Startup Costs'!$D$10</f>
        <v>-53878.4</v>
      </c>
      <c r="Q15" s="10" t="n">
        <f aca="false">Q13-'Startup Costs'!$D$11+'Startup Costs'!$D$10</f>
        <v>-47579.2</v>
      </c>
      <c r="R15" s="10" t="n">
        <f aca="false">R13-'Startup Costs'!$D$11+'Startup Costs'!$D$10</f>
        <v>-41280</v>
      </c>
      <c r="S15" s="10" t="n">
        <f aca="false">S13-'Startup Costs'!$D$11+'Startup Costs'!$D$10</f>
        <v>-34980.8</v>
      </c>
      <c r="T15" s="10" t="n">
        <f aca="false">T13-'Startup Costs'!$D$11+'Startup Costs'!$D$10</f>
        <v>-28681.6</v>
      </c>
      <c r="U15" s="10" t="n">
        <f aca="false">U13-'Startup Costs'!$D$11+'Startup Costs'!$D$10</f>
        <v>-22382.4</v>
      </c>
      <c r="V15" s="10" t="n">
        <f aca="false">V13-'Startup Costs'!$D$11+'Startup Costs'!$D$10</f>
        <v>-16083.2</v>
      </c>
      <c r="W15" s="10" t="n">
        <f aca="false">W13-'Startup Costs'!$D$11+'Startup Costs'!$D$10</f>
        <v>-9784</v>
      </c>
      <c r="X15" s="10" t="n">
        <f aca="false">X13-'Startup Costs'!$D$11+'Startup Costs'!$D$10</f>
        <v>-3484.8</v>
      </c>
      <c r="Y15" s="10" t="n">
        <f aca="false">Y13-'Startup Costs'!$D$11+'Startup Costs'!$D$10</f>
        <v>2814.39999999999</v>
      </c>
      <c r="Z15" s="10" t="n">
        <f aca="false">Z13-'Startup Costs'!$D$11+'Startup Costs'!$D$10</f>
        <v>9113.59999999999</v>
      </c>
      <c r="AA15" s="10" t="n">
        <f aca="false">AA13-'Startup Costs'!$D$11+'Startup Costs'!$D$10</f>
        <v>15412.8</v>
      </c>
    </row>
  </sheetData>
  <mergeCells count="1">
    <mergeCell ref="A1:J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52"/>
    <col collapsed="false" customWidth="true" hidden="false" outlineLevel="0" max="2" min="2" style="0" width="16"/>
    <col collapsed="false" customWidth="true" hidden="false" outlineLevel="0" max="3" min="3" style="0" width="62"/>
  </cols>
  <sheetData>
    <row r="1" customFormat="false" ht="15" hidden="false" customHeight="false" outlineLevel="0" collapsed="false">
      <c r="A1" s="3" t="s">
        <v>67</v>
      </c>
      <c r="B1" s="3"/>
      <c r="C1" s="3"/>
    </row>
    <row r="3" customFormat="false" ht="15" hidden="false" customHeight="false" outlineLevel="0" collapsed="false">
      <c r="A3" s="2" t="s">
        <v>68</v>
      </c>
      <c r="B3" s="14" t="n">
        <f aca="false">MIN('Cash Flow'!B13:AA13)</f>
        <v>-66272</v>
      </c>
      <c r="C3" s="5" t="s">
        <v>69</v>
      </c>
    </row>
    <row r="4" customFormat="false" ht="15" hidden="false" customHeight="false" outlineLevel="0" collapsed="false">
      <c r="A4" s="2" t="s">
        <v>70</v>
      </c>
      <c r="B4" s="15" t="n">
        <f aca="false">MATCH(MIN('Cash Flow'!B13:AA13),'Cash Flow'!B13:AA13,0)</f>
        <v>7</v>
      </c>
    </row>
    <row r="5" customFormat="false" ht="15" hidden="false" customHeight="false" outlineLevel="0" collapsed="false">
      <c r="A5" s="2" t="s">
        <v>71</v>
      </c>
      <c r="B5" s="15" t="n">
        <f aca="false">IFERROR(MATCH(1,'Cash Flow'!B14:AA14,0),"&gt;26")</f>
        <v>18</v>
      </c>
    </row>
    <row r="6" customFormat="false" ht="15" hidden="false" customHeight="false" outlineLevel="0" collapsed="false">
      <c r="A6" s="2" t="s">
        <v>72</v>
      </c>
      <c r="B6" s="14" t="n">
        <f aca="false">Assumptions!B11*(1-Assumptions!B12)-Assumptions!B25/Assumptions!B24</f>
        <v>47.0333333333333</v>
      </c>
    </row>
    <row r="7" customFormat="false" ht="15" hidden="false" customHeight="false" outlineLevel="0" collapsed="false">
      <c r="A7" s="2" t="s">
        <v>73</v>
      </c>
      <c r="B7" s="14" t="n">
        <f aca="false">'Cash Flow'!AA7-Assumptions!B25-Assumptions!B26</f>
        <v>6299.2</v>
      </c>
    </row>
    <row r="8" customFormat="false" ht="15" hidden="false" customHeight="false" outlineLevel="0" collapsed="false">
      <c r="A8" s="2" t="s">
        <v>74</v>
      </c>
      <c r="B8" s="14" t="n">
        <f aca="false">('Cash Flow'!AA7-Assumptions!B25-Assumptions!B26)/Assumptions!B24</f>
        <v>29.162962962963</v>
      </c>
      <c r="C8" s="5" t="s">
        <v>75</v>
      </c>
    </row>
    <row r="9" customFormat="false" ht="15" hidden="false" customHeight="false" outlineLevel="0" collapsed="false">
      <c r="A9" s="2" t="s">
        <v>76</v>
      </c>
      <c r="B9" s="16" t="n">
        <f aca="false">Assumptions!B26/(Assumptions!B11*(1-Assumptions!B12)-Assumptions!B25/Assumptions!B24)</f>
        <v>82.0694542877392</v>
      </c>
    </row>
    <row r="10" customFormat="false" ht="15" hidden="false" customHeight="false" outlineLevel="0" collapsed="false">
      <c r="A10" s="2" t="s">
        <v>77</v>
      </c>
      <c r="B10" s="14" t="n">
        <f aca="false">-MIN('Cash Flow'!B13:AA13)*1.25</f>
        <v>82840</v>
      </c>
      <c r="C10" s="5" t="s">
        <v>78</v>
      </c>
    </row>
    <row r="12" customFormat="false" ht="15" hidden="false" customHeight="false" outlineLevel="0" collapsed="false">
      <c r="A12" s="1" t="s">
        <v>79</v>
      </c>
    </row>
    <row r="13" customFormat="false" ht="15" hidden="false" customHeight="false" outlineLevel="0" collapsed="false">
      <c r="A13" s="2" t="s">
        <v>36</v>
      </c>
      <c r="B13" s="17" t="n">
        <f aca="false">Assumptions!B5*Assumptions!B6</f>
        <v>72</v>
      </c>
    </row>
    <row r="14" customFormat="false" ht="15" hidden="false" customHeight="false" outlineLevel="0" collapsed="false">
      <c r="A14" s="2" t="s">
        <v>80</v>
      </c>
      <c r="B14" s="18" t="n">
        <f aca="false">Assumptions!B25/Assumptions!B4</f>
        <v>3180</v>
      </c>
    </row>
    <row r="15" customFormat="false" ht="15" hidden="false" customHeight="false" outlineLevel="0" collapsed="false">
      <c r="A15" s="2" t="s">
        <v>81</v>
      </c>
      <c r="B15" s="18" t="n">
        <f aca="false">(Assumptions!B18+Assumptions!B19)/Assumptions!B4+Assumptions!B20*0.6</f>
        <v>1625.33333333333</v>
      </c>
    </row>
    <row r="16" customFormat="false" ht="15" hidden="false" customHeight="false" outlineLevel="0" collapsed="false">
      <c r="A16" s="2" t="s">
        <v>73</v>
      </c>
      <c r="B16" s="18" t="n">
        <f aca="false">Assumptions!B5*Assumptions!B6*Assumptions!B11*(1-Assumptions!B12)-Assumptions!B25/Assumptions!B4-((Assumptions!B18+Assumptions!B19)/Assumptions!B4+Assumptions!B20*0.6)</f>
        <v>1761.06666666667</v>
      </c>
    </row>
    <row r="17" customFormat="false" ht="15" hidden="false" customHeight="false" outlineLevel="0" collapsed="false">
      <c r="A17" s="2" t="s">
        <v>82</v>
      </c>
      <c r="B17" s="18" t="n">
        <f aca="false">MIN('Cash Flow'!B13:AA13)/Assumptions!B4</f>
        <v>-22090.6666666667</v>
      </c>
    </row>
  </sheetData>
  <mergeCells count="1">
    <mergeCell ref="A1:C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2026-07-04T18:54:44Z</dcterms:created>
  <dc:creator>openpyxl</dc:creator>
  <dc:description/>
  <dc:language>en-US</dc:language>
  <cp:lastModifiedBy/>
  <dcterms:modified xsi:type="dcterms:W3CDTF">2026-07-04T18:54:44Z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